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alkulátorok\HONLAPRA 2022\"/>
    </mc:Choice>
  </mc:AlternateContent>
  <xr:revisionPtr revIDLastSave="0" documentId="13_ncr:1_{43976A82-1F87-492E-A180-5C0F6E0A027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ér 2009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0" i="1" l="1"/>
  <c r="S25" i="1" s="1"/>
  <c r="T20" i="1"/>
  <c r="T25" i="1" s="1"/>
  <c r="T13" i="1"/>
  <c r="T11" i="1"/>
  <c r="S19" i="1"/>
  <c r="S13" i="1"/>
  <c r="S11" i="1"/>
  <c r="R20" i="1"/>
  <c r="Q20" i="1"/>
  <c r="Q19" i="1"/>
  <c r="Q13" i="1"/>
  <c r="Q11" i="1"/>
  <c r="T15" i="1" l="1"/>
  <c r="T23" i="1" s="1"/>
  <c r="T28" i="1" s="1"/>
  <c r="S15" i="1"/>
  <c r="S23" i="1" s="1"/>
  <c r="S28" i="1" s="1"/>
  <c r="Q25" i="1"/>
  <c r="Q15" i="1"/>
  <c r="Q16" i="1"/>
  <c r="P20" i="1"/>
  <c r="P25" i="1" s="1"/>
  <c r="O20" i="1"/>
  <c r="N20" i="1"/>
  <c r="N25" i="1" s="1"/>
  <c r="R11" i="1"/>
  <c r="N19" i="1"/>
  <c r="O19" i="1"/>
  <c r="P19" i="1"/>
  <c r="R19" i="1"/>
  <c r="P13" i="1"/>
  <c r="R13" i="1"/>
  <c r="O13" i="1"/>
  <c r="N13" i="1"/>
  <c r="N11" i="1"/>
  <c r="O11" i="1"/>
  <c r="P11" i="1"/>
  <c r="R15" i="1" l="1"/>
  <c r="Q23" i="1"/>
  <c r="Q28" i="1" s="1"/>
  <c r="N16" i="1"/>
  <c r="O25" i="1"/>
  <c r="R25" i="1"/>
  <c r="P16" i="1"/>
  <c r="O16" i="1"/>
  <c r="P15" i="1"/>
  <c r="O15" i="1"/>
  <c r="N15" i="1"/>
  <c r="M20" i="1"/>
  <c r="M25" i="1" s="1"/>
  <c r="M13" i="1"/>
  <c r="M11" i="1"/>
  <c r="M15" i="1" s="1"/>
  <c r="M19" i="1"/>
  <c r="N23" i="1" l="1"/>
  <c r="N28" i="1" s="1"/>
  <c r="R23" i="1"/>
  <c r="R28" i="1" s="1"/>
  <c r="O23" i="1"/>
  <c r="O28" i="1" s="1"/>
  <c r="P23" i="1"/>
  <c r="P28" i="1" s="1"/>
  <c r="M16" i="1"/>
  <c r="M23" i="1" s="1"/>
  <c r="M28" i="1" s="1"/>
  <c r="L13" i="1"/>
  <c r="L11" i="1"/>
  <c r="L20" i="1"/>
  <c r="L25" i="1" s="1"/>
  <c r="L19" i="1"/>
  <c r="L15" i="1" l="1"/>
  <c r="L16" i="1"/>
  <c r="K11" i="1"/>
  <c r="K13" i="1"/>
  <c r="K19" i="1"/>
  <c r="K20" i="1"/>
  <c r="K25" i="1" s="1"/>
  <c r="L23" i="1" l="1"/>
  <c r="L28" i="1" s="1"/>
  <c r="K15" i="1"/>
  <c r="K16" i="1"/>
  <c r="J13" i="1"/>
  <c r="J11" i="1"/>
  <c r="J19" i="1"/>
  <c r="J20" i="1"/>
  <c r="K23" i="1" l="1"/>
  <c r="K28" i="1" s="1"/>
  <c r="J15" i="1"/>
  <c r="J16" i="1"/>
  <c r="J25" i="1"/>
  <c r="I20" i="1"/>
  <c r="H20" i="1"/>
  <c r="G20" i="1"/>
  <c r="F20" i="1"/>
  <c r="E20" i="1"/>
  <c r="D20" i="1"/>
  <c r="I19" i="1"/>
  <c r="H19" i="1"/>
  <c r="G19" i="1"/>
  <c r="F19" i="1"/>
  <c r="E19" i="1"/>
  <c r="D19" i="1"/>
  <c r="I16" i="1"/>
  <c r="H16" i="1"/>
  <c r="G16" i="1"/>
  <c r="F16" i="1"/>
  <c r="E16" i="1"/>
  <c r="D16" i="1"/>
  <c r="I15" i="1"/>
  <c r="H15" i="1"/>
  <c r="G15" i="1"/>
  <c r="F15" i="1"/>
  <c r="E15" i="1"/>
  <c r="D15" i="1"/>
  <c r="E14" i="1"/>
  <c r="D14" i="1"/>
  <c r="I13" i="1"/>
  <c r="H13" i="1"/>
  <c r="G13" i="1"/>
  <c r="F13" i="1"/>
  <c r="E13" i="1"/>
  <c r="D13" i="1"/>
  <c r="E12" i="1"/>
  <c r="D12" i="1"/>
  <c r="I11" i="1"/>
  <c r="E11" i="1"/>
  <c r="D11" i="1"/>
  <c r="H8" i="1"/>
  <c r="H11" i="1" s="1"/>
  <c r="G8" i="1"/>
  <c r="G11" i="1" s="1"/>
  <c r="F8" i="1"/>
  <c r="F14" i="1" s="1"/>
  <c r="D25" i="1" l="1"/>
  <c r="H23" i="1"/>
  <c r="F25" i="1"/>
  <c r="G25" i="1"/>
  <c r="J23" i="1"/>
  <c r="J28" i="1" s="1"/>
  <c r="D23" i="1"/>
  <c r="H25" i="1"/>
  <c r="E23" i="1"/>
  <c r="G14" i="1"/>
  <c r="G23" i="1" s="1"/>
  <c r="E25" i="1"/>
  <c r="I25" i="1"/>
  <c r="I23" i="1"/>
  <c r="F11" i="1"/>
  <c r="F23" i="1" s="1"/>
  <c r="E28" i="1" l="1"/>
  <c r="F28" i="1"/>
  <c r="G28" i="1"/>
  <c r="H28" i="1"/>
  <c r="D28" i="1"/>
  <c r="I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Nagy Kati</author>
    <author>Varga Katalin</author>
    <author>Beradmin</author>
    <author>Bai Katalin</author>
  </authors>
  <commentList>
    <comment ref="R5" authorId="0" shapeId="0" xr:uid="{00000000-0006-0000-0000-000001000000}">
      <text>
        <r>
          <rPr>
            <sz val="8"/>
            <color indexed="81"/>
            <rFont val="Segoe UI"/>
            <family val="2"/>
            <charset val="238"/>
          </rPr>
          <t>4 gyermekes anya esetén nincs személyi jövedelemadó levonás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  <comment ref="T5" authorId="0" shapeId="0" xr:uid="{001AC99A-C906-4861-9CE0-3866E5FD7D3C}">
      <text>
        <r>
          <rPr>
            <sz val="8"/>
            <color indexed="81"/>
            <rFont val="Segoe UI"/>
            <family val="2"/>
            <charset val="238"/>
          </rPr>
          <t>4 gyermekes anya esetén nincs személyi jövedelemadó levonás</t>
        </r>
        <r>
          <rPr>
            <b/>
            <sz val="9"/>
            <color indexed="81"/>
            <rFont val="Segoe UI"/>
            <family val="2"/>
            <charset val="238"/>
          </rPr>
          <t xml:space="preserve">
</t>
        </r>
      </text>
    </comment>
    <comment ref="G13" authorId="1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Családi adókedvezmény
</t>
        </r>
      </text>
    </comment>
    <comment ref="H13" authorId="1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Családi adókedvezmény
</t>
        </r>
      </text>
    </comment>
    <comment ref="I13" authorId="1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Családi adókedvezmény
(elvi érvényesíthető)</t>
        </r>
      </text>
    </comment>
    <comment ref="J13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 xml:space="preserve">családi adókedvezmény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1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Éves, maximális adójóváírás arányosan számol. Havi szinten 15,100 Ft kerül elszámolásra, majd év végével csökken.
</t>
        </r>
      </text>
    </comment>
    <comment ref="G14" authorId="1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Éves, maximális adójóváírás arányosan számol.
</t>
        </r>
      </text>
    </comment>
    <comment ref="C16" authorId="3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Nem figyeli nyugdíjplafont, de 620,500 Ft feletti bérnél év vége fele nem vonunk nyugdíjjárulékot..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<sst xmlns="http://schemas.openxmlformats.org/spreadsheetml/2006/main" count="49" uniqueCount="39">
  <si>
    <t>2009. január 01.-től</t>
  </si>
  <si>
    <t>2009. júliustól</t>
  </si>
  <si>
    <t>2010. január 01.-től</t>
  </si>
  <si>
    <t>2011. január 01.-től</t>
  </si>
  <si>
    <t>2012. január 01.</t>
  </si>
  <si>
    <t>havi bruttó bér :</t>
  </si>
  <si>
    <t>szuperbruttó:</t>
  </si>
  <si>
    <t>Munkavállalói adó, járulék</t>
  </si>
  <si>
    <t>különadó</t>
  </si>
  <si>
    <t xml:space="preserve">családi kedvezmény </t>
  </si>
  <si>
    <t>adójóváírás</t>
  </si>
  <si>
    <t>Munkaadói járulék</t>
  </si>
  <si>
    <t>szakképzési</t>
  </si>
  <si>
    <t>eho tételes</t>
  </si>
  <si>
    <t>2013. január 01.</t>
  </si>
  <si>
    <t>2014. január 01.</t>
  </si>
  <si>
    <t>kedvezményezett gyermekek száma:</t>
  </si>
  <si>
    <t>SZJA</t>
  </si>
  <si>
    <t>2015. január 01.</t>
  </si>
  <si>
    <t>nem</t>
  </si>
  <si>
    <t>2016. január 01.</t>
  </si>
  <si>
    <t>2017. január 01.</t>
  </si>
  <si>
    <t>2018. január 01.</t>
  </si>
  <si>
    <t>2019. január 01.</t>
  </si>
  <si>
    <t>2019. július 01.</t>
  </si>
  <si>
    <t>2020. január 01.</t>
  </si>
  <si>
    <t>Nettó/bérköltség arány</t>
  </si>
  <si>
    <t xml:space="preserve">A fenti számítások tájékoztató jellegűek, a legegyszerűbb bérelszámolást jelenítik meg, rengeteg változót, mely korrigálhatja az adatokat, nem vesz figyelembe.  </t>
  </si>
  <si>
    <t>Nettó bér számfejtése 2009-2020</t>
  </si>
  <si>
    <t>Nettó:</t>
  </si>
  <si>
    <t>Teljes bérköltség:</t>
  </si>
  <si>
    <t>szociális hozzájárulás</t>
  </si>
  <si>
    <t>nyugdíj</t>
  </si>
  <si>
    <t>2020. július 01.</t>
  </si>
  <si>
    <t>szocadó kedvezményben részesül</t>
  </si>
  <si>
    <t>Tbj (egbizt+munkaerőpiaci)</t>
  </si>
  <si>
    <t>2021. január 01.</t>
  </si>
  <si>
    <t>2022. január 01.</t>
  </si>
  <si>
    <t>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</si>
</sst>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8" x14ac:knownFonts="1">
    <font>
      <sz val="10"/>
      <name val="Arial"/>
      <charset val="238"/>
    </font>
    <font>
      <sz val="10"/>
      <color indexed="9"/>
      <name val="Arial"/>
      <family val="2"/>
      <charset val="238"/>
    </font>
    <font>
      <b/>
      <sz val="10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81"/>
      <name val="Segoe U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81"/>
      <name val="Segoe UI"/>
      <family val="2"/>
      <charset val="238"/>
    </font>
    <font>
      <sz val="8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auto="1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double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/>
      <bottom style="thin">
        <color theme="0" tint="-0.499984740745262"/>
      </bottom>
      <diagonal/>
    </border>
    <border>
      <left style="double">
        <color auto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double">
        <color auto="1"/>
      </right>
      <top style="thin">
        <color theme="0" tint="-0.499984740745262"/>
      </top>
      <bottom/>
      <diagonal/>
    </border>
    <border>
      <left/>
      <right style="double">
        <color auto="1"/>
      </right>
      <top/>
      <bottom style="thin">
        <color theme="0" tint="-0.499984740745262"/>
      </bottom>
      <diagonal/>
    </border>
    <border>
      <left style="double">
        <color auto="1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double">
        <color auto="1"/>
      </right>
      <top style="medium">
        <color theme="0" tint="-0.499984740745262"/>
      </top>
      <bottom/>
      <diagonal/>
    </border>
    <border>
      <left style="double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theme="0" tint="-0.499984740745262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double">
        <color auto="1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auto="1"/>
      </top>
      <bottom style="medium">
        <color theme="0" tint="-0.499984740745262"/>
      </bottom>
      <diagonal/>
    </border>
    <border>
      <left style="thin">
        <color theme="0" tint="-0.499984740745262"/>
      </left>
      <right style="double">
        <color auto="1"/>
      </right>
      <top style="double">
        <color auto="1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Protection="1"/>
    <xf numFmtId="0" fontId="8" fillId="2" borderId="0" xfId="0" applyFont="1" applyFill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0" xfId="0" applyFont="1" applyBorder="1" applyProtection="1"/>
    <xf numFmtId="0" fontId="4" fillId="0" borderId="10" xfId="0" applyFont="1" applyBorder="1" applyAlignment="1" applyProtection="1">
      <alignment wrapText="1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wrapText="1"/>
    </xf>
    <xf numFmtId="0" fontId="4" fillId="0" borderId="8" xfId="0" applyFont="1" applyBorder="1" applyProtection="1"/>
    <xf numFmtId="164" fontId="4" fillId="0" borderId="8" xfId="0" applyNumberFormat="1" applyFont="1" applyBorder="1" applyProtection="1"/>
    <xf numFmtId="164" fontId="4" fillId="0" borderId="9" xfId="0" applyNumberFormat="1" applyFont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4" fillId="2" borderId="30" xfId="0" applyFont="1" applyFill="1" applyBorder="1" applyProtection="1"/>
    <xf numFmtId="0" fontId="4" fillId="2" borderId="8" xfId="0" applyFont="1" applyFill="1" applyBorder="1" applyProtection="1"/>
    <xf numFmtId="164" fontId="4" fillId="2" borderId="8" xfId="0" applyNumberFormat="1" applyFont="1" applyFill="1" applyBorder="1" applyProtection="1"/>
    <xf numFmtId="164" fontId="15" fillId="2" borderId="8" xfId="0" applyNumberFormat="1" applyFont="1" applyFill="1" applyBorder="1" applyAlignment="1" applyProtection="1">
      <alignment horizontal="center" vertical="center" wrapText="1"/>
    </xf>
    <xf numFmtId="164" fontId="4" fillId="2" borderId="31" xfId="0" applyNumberFormat="1" applyFont="1" applyFill="1" applyBorder="1" applyProtection="1"/>
    <xf numFmtId="164" fontId="4" fillId="2" borderId="14" xfId="0" applyNumberFormat="1" applyFont="1" applyFill="1" applyBorder="1" applyProtection="1"/>
    <xf numFmtId="0" fontId="13" fillId="5" borderId="1" xfId="0" applyFont="1" applyFill="1" applyBorder="1" applyAlignment="1" applyProtection="1">
      <alignment horizontal="left" vertical="center"/>
    </xf>
    <xf numFmtId="0" fontId="0" fillId="5" borderId="0" xfId="0" applyFill="1" applyBorder="1" applyProtection="1"/>
    <xf numFmtId="0" fontId="4" fillId="2" borderId="32" xfId="0" applyFont="1" applyFill="1" applyBorder="1" applyProtection="1"/>
    <xf numFmtId="0" fontId="4" fillId="2" borderId="10" xfId="0" applyFont="1" applyFill="1" applyBorder="1" applyProtection="1"/>
    <xf numFmtId="164" fontId="4" fillId="2" borderId="10" xfId="0" applyNumberFormat="1" applyFont="1" applyFill="1" applyBorder="1" applyProtection="1"/>
    <xf numFmtId="164" fontId="4" fillId="2" borderId="33" xfId="0" applyNumberFormat="1" applyFont="1" applyFill="1" applyBorder="1" applyProtection="1"/>
    <xf numFmtId="164" fontId="4" fillId="2" borderId="15" xfId="0" applyNumberFormat="1" applyFont="1" applyFill="1" applyBorder="1" applyProtection="1"/>
    <xf numFmtId="0" fontId="0" fillId="5" borderId="1" xfId="0" applyFill="1" applyBorder="1" applyProtection="1"/>
    <xf numFmtId="0" fontId="11" fillId="0" borderId="2" xfId="0" applyFont="1" applyBorder="1" applyProtection="1"/>
    <xf numFmtId="164" fontId="4" fillId="0" borderId="3" xfId="0" applyNumberFormat="1" applyFont="1" applyBorder="1" applyProtection="1"/>
    <xf numFmtId="164" fontId="4" fillId="0" borderId="4" xfId="0" applyNumberFormat="1" applyFont="1" applyBorder="1" applyProtection="1"/>
    <xf numFmtId="0" fontId="11" fillId="5" borderId="1" xfId="0" applyFont="1" applyFill="1" applyBorder="1" applyAlignment="1" applyProtection="1">
      <alignment horizontal="center" vertical="center"/>
    </xf>
    <xf numFmtId="0" fontId="11" fillId="5" borderId="16" xfId="0" applyFont="1" applyFill="1" applyBorder="1" applyProtection="1"/>
    <xf numFmtId="0" fontId="11" fillId="0" borderId="34" xfId="0" applyFont="1" applyBorder="1" applyProtection="1"/>
    <xf numFmtId="164" fontId="4" fillId="0" borderId="17" xfId="0" applyNumberFormat="1" applyFont="1" applyBorder="1" applyProtection="1"/>
    <xf numFmtId="164" fontId="4" fillId="0" borderId="18" xfId="0" applyNumberFormat="1" applyFont="1" applyBorder="1" applyProtection="1"/>
    <xf numFmtId="0" fontId="11" fillId="2" borderId="1" xfId="0" applyFont="1" applyFill="1" applyBorder="1" applyProtection="1"/>
    <xf numFmtId="0" fontId="11" fillId="0" borderId="0" xfId="0" applyFont="1" applyBorder="1" applyProtection="1"/>
    <xf numFmtId="164" fontId="4" fillId="2" borderId="20" xfId="0" applyNumberFormat="1" applyFont="1" applyFill="1" applyBorder="1" applyProtection="1"/>
    <xf numFmtId="164" fontId="4" fillId="2" borderId="21" xfId="0" applyNumberFormat="1" applyFont="1" applyFill="1" applyBorder="1" applyProtection="1"/>
    <xf numFmtId="0" fontId="13" fillId="6" borderId="1" xfId="0" applyFont="1" applyFill="1" applyBorder="1" applyAlignment="1" applyProtection="1">
      <alignment horizontal="left" vertical="center"/>
    </xf>
    <xf numFmtId="0" fontId="11" fillId="6" borderId="0" xfId="0" applyFont="1" applyFill="1" applyBorder="1" applyProtection="1"/>
    <xf numFmtId="164" fontId="4" fillId="2" borderId="11" xfId="0" applyNumberFormat="1" applyFont="1" applyFill="1" applyBorder="1" applyProtection="1"/>
    <xf numFmtId="0" fontId="0" fillId="6" borderId="1" xfId="0" applyFill="1" applyBorder="1" applyProtection="1"/>
    <xf numFmtId="0" fontId="11" fillId="6" borderId="1" xfId="0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164" fontId="4" fillId="0" borderId="20" xfId="0" applyNumberFormat="1" applyFont="1" applyBorder="1" applyProtection="1"/>
    <xf numFmtId="164" fontId="4" fillId="0" borderId="21" xfId="0" applyNumberFormat="1" applyFont="1" applyBorder="1" applyProtection="1"/>
    <xf numFmtId="164" fontId="4" fillId="4" borderId="23" xfId="0" applyNumberFormat="1" applyFont="1" applyFill="1" applyBorder="1" applyProtection="1"/>
    <xf numFmtId="164" fontId="4" fillId="4" borderId="24" xfId="0" applyNumberFormat="1" applyFont="1" applyFill="1" applyBorder="1" applyProtection="1"/>
    <xf numFmtId="0" fontId="4" fillId="0" borderId="23" xfId="0" applyFont="1" applyBorder="1" applyProtection="1"/>
    <xf numFmtId="164" fontId="4" fillId="0" borderId="23" xfId="0" applyNumberFormat="1" applyFont="1" applyBorder="1" applyProtection="1"/>
    <xf numFmtId="164" fontId="4" fillId="0" borderId="24" xfId="0" applyNumberFormat="1" applyFont="1" applyBorder="1" applyProtection="1"/>
    <xf numFmtId="0" fontId="11" fillId="2" borderId="0" xfId="0" applyFont="1" applyFill="1" applyBorder="1" applyProtection="1"/>
    <xf numFmtId="0" fontId="0" fillId="2" borderId="23" xfId="0" applyFill="1" applyBorder="1" applyProtection="1"/>
    <xf numFmtId="164" fontId="0" fillId="2" borderId="23" xfId="0" applyNumberFormat="1" applyFill="1" applyBorder="1" applyProtection="1"/>
    <xf numFmtId="164" fontId="0" fillId="2" borderId="24" xfId="0" applyNumberForma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11" fillId="4" borderId="25" xfId="0" applyFont="1" applyFill="1" applyBorder="1" applyProtection="1"/>
    <xf numFmtId="0" fontId="11" fillId="4" borderId="5" xfId="0" applyFont="1" applyFill="1" applyBorder="1" applyProtection="1"/>
    <xf numFmtId="9" fontId="11" fillId="4" borderId="6" xfId="0" applyNumberFormat="1" applyFont="1" applyFill="1" applyBorder="1" applyAlignment="1" applyProtection="1">
      <alignment horizontal="center" vertical="center"/>
    </xf>
    <xf numFmtId="9" fontId="11" fillId="4" borderId="7" xfId="0" applyNumberFormat="1" applyFont="1" applyFill="1" applyBorder="1" applyAlignment="1" applyProtection="1">
      <alignment horizontal="center" vertical="center"/>
    </xf>
    <xf numFmtId="164" fontId="0" fillId="2" borderId="0" xfId="0" applyNumberFormat="1" applyFill="1" applyBorder="1" applyProtection="1"/>
    <xf numFmtId="10" fontId="0" fillId="2" borderId="0" xfId="0" applyNumberFormat="1" applyFill="1" applyBorder="1" applyProtection="1"/>
    <xf numFmtId="0" fontId="3" fillId="2" borderId="0" xfId="0" applyFont="1" applyFill="1" applyBorder="1" applyAlignment="1" applyProtection="1"/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164" fontId="4" fillId="3" borderId="3" xfId="0" applyNumberFormat="1" applyFont="1" applyFill="1" applyBorder="1" applyProtection="1">
      <protection locked="0"/>
    </xf>
    <xf numFmtId="164" fontId="4" fillId="3" borderId="4" xfId="0" applyNumberFormat="1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vertical="center"/>
    </xf>
    <xf numFmtId="0" fontId="0" fillId="2" borderId="26" xfId="0" applyFill="1" applyBorder="1" applyAlignment="1" applyProtection="1"/>
    <xf numFmtId="0" fontId="0" fillId="0" borderId="27" xfId="0" applyBorder="1" applyAlignment="1" applyProtection="1"/>
    <xf numFmtId="0" fontId="12" fillId="4" borderId="1" xfId="0" applyFont="1" applyFill="1" applyBorder="1" applyAlignment="1" applyProtection="1"/>
    <xf numFmtId="0" fontId="2" fillId="4" borderId="19" xfId="0" applyFont="1" applyFill="1" applyBorder="1" applyAlignment="1" applyProtection="1"/>
    <xf numFmtId="0" fontId="13" fillId="0" borderId="1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3" fillId="0" borderId="22" xfId="0" applyFont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</cellXfs>
  <cellStyles count="1">
    <cellStyle name="Normál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colors>
    <mruColors>
      <color rgb="FFFFFF99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26349</xdr:colOff>
      <xdr:row>1</xdr:row>
      <xdr:rowOff>119062</xdr:rowOff>
    </xdr:from>
    <xdr:to>
      <xdr:col>4</xdr:col>
      <xdr:colOff>160710</xdr:colOff>
      <xdr:row>1</xdr:row>
      <xdr:rowOff>120529</xdr:rowOff>
    </xdr:to>
    <xdr:grpSp>
      <xdr:nvGrpSpPr>
        <xdr:cNvPr id="2" name="Csoportba foglalás 1">
          <a:extLst>
            <a:ext uri="{FF2B5EF4-FFF2-40B4-BE49-F238E27FC236}">
              <a16:creationId xmlns:a16="http://schemas.microsoft.com/office/drawing/2014/main" id="{2A7906AC-FCAF-4AF0-874E-095E35E1A6F5}"/>
            </a:ext>
          </a:extLst>
        </xdr:cNvPr>
        <xdr:cNvGrpSpPr/>
      </xdr:nvGrpSpPr>
      <xdr:grpSpPr>
        <a:xfrm>
          <a:off x="161164" y="289047"/>
          <a:ext cx="2150731" cy="1467"/>
          <a:chOff x="266984" y="303952"/>
          <a:chExt cx="3958561" cy="1467"/>
        </a:xfrm>
      </xdr:grpSpPr>
      <xdr:cxnSp macro="">
        <xdr:nvCxnSpPr>
          <xdr:cNvPr id="3" name="Egyenes összekötő 2">
            <a:extLst>
              <a:ext uri="{FF2B5EF4-FFF2-40B4-BE49-F238E27FC236}">
                <a16:creationId xmlns:a16="http://schemas.microsoft.com/office/drawing/2014/main" id="{29EA0BB9-09F0-4144-97F1-B2B009707538}"/>
              </a:ext>
            </a:extLst>
          </xdr:cNvPr>
          <xdr:cNvCxnSpPr/>
        </xdr:nvCxnSpPr>
        <xdr:spPr>
          <a:xfrm>
            <a:off x="266984" y="305419"/>
            <a:ext cx="3958561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2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Egyenes összekötő 3">
            <a:extLst>
              <a:ext uri="{FF2B5EF4-FFF2-40B4-BE49-F238E27FC236}">
                <a16:creationId xmlns:a16="http://schemas.microsoft.com/office/drawing/2014/main" id="{E091882D-5074-41B4-9B71-CFE2CFF62E90}"/>
              </a:ext>
            </a:extLst>
          </xdr:cNvPr>
          <xdr:cNvCxnSpPr/>
        </xdr:nvCxnSpPr>
        <xdr:spPr>
          <a:xfrm flipH="1">
            <a:off x="267824" y="303952"/>
            <a:ext cx="1748" cy="0"/>
          </a:xfrm>
          <a:prstGeom prst="line">
            <a:avLst/>
          </a:prstGeom>
          <a:ln w="165100" cap="rnd" cmpd="sng">
            <a:solidFill>
              <a:schemeClr val="accent5">
                <a:lumMod val="40000"/>
                <a:lumOff val="60000"/>
                <a:alpha val="99000"/>
              </a:schemeClr>
            </a:solidFill>
            <a:round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37"/>
  <sheetViews>
    <sheetView tabSelected="1" topLeftCell="A4" zoomScale="130" zoomScaleNormal="130" workbookViewId="0">
      <pane xSplit="3" topLeftCell="L1" activePane="topRight" state="frozen"/>
      <selection activeCell="A4" sqref="A4"/>
      <selection pane="topRight" activeCell="T6" sqref="T6"/>
    </sheetView>
  </sheetViews>
  <sheetFormatPr defaultColWidth="9.109375" defaultRowHeight="13.2" x14ac:dyDescent="0.25"/>
  <cols>
    <col min="1" max="1" width="2" style="1" customWidth="1"/>
    <col min="2" max="2" width="2.44140625" style="1" customWidth="1"/>
    <col min="3" max="3" width="18.5546875" style="1" customWidth="1"/>
    <col min="4" max="20" width="8.33203125" style="1" customWidth="1"/>
    <col min="21" max="21" width="9.109375" style="1" customWidth="1"/>
    <col min="22" max="16384" width="9.109375" style="1"/>
  </cols>
  <sheetData>
    <row r="1" spans="2:20" x14ac:dyDescent="0.25">
      <c r="L1" s="2">
        <v>0</v>
      </c>
    </row>
    <row r="2" spans="2:20" ht="15.75" customHeight="1" x14ac:dyDescent="0.25">
      <c r="C2" s="3" t="s">
        <v>28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13.8" thickBot="1" x14ac:dyDescent="0.3"/>
    <row r="4" spans="2:20" ht="36.75" customHeight="1" thickTop="1" thickBot="1" x14ac:dyDescent="0.3">
      <c r="B4" s="78"/>
      <c r="C4" s="79"/>
      <c r="D4" s="5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14</v>
      </c>
      <c r="J4" s="6" t="s">
        <v>15</v>
      </c>
      <c r="K4" s="6" t="s">
        <v>18</v>
      </c>
      <c r="L4" s="6" t="s">
        <v>20</v>
      </c>
      <c r="M4" s="6" t="s">
        <v>21</v>
      </c>
      <c r="N4" s="6" t="s">
        <v>22</v>
      </c>
      <c r="O4" s="6" t="s">
        <v>23</v>
      </c>
      <c r="P4" s="6" t="s">
        <v>24</v>
      </c>
      <c r="Q4" s="6" t="s">
        <v>25</v>
      </c>
      <c r="R4" s="6" t="s">
        <v>33</v>
      </c>
      <c r="S4" s="6" t="s">
        <v>36</v>
      </c>
      <c r="T4" s="7" t="s">
        <v>37</v>
      </c>
    </row>
    <row r="5" spans="2:20" ht="31.5" customHeight="1" x14ac:dyDescent="0.25">
      <c r="B5" s="82" t="s">
        <v>16</v>
      </c>
      <c r="C5" s="83"/>
      <c r="D5" s="8"/>
      <c r="E5" s="9"/>
      <c r="F5" s="8"/>
      <c r="G5" s="70">
        <v>2</v>
      </c>
      <c r="H5" s="70">
        <v>2</v>
      </c>
      <c r="I5" s="70">
        <v>2</v>
      </c>
      <c r="J5" s="70">
        <v>2</v>
      </c>
      <c r="K5" s="70">
        <v>2</v>
      </c>
      <c r="L5" s="70">
        <v>2</v>
      </c>
      <c r="M5" s="70">
        <v>2</v>
      </c>
      <c r="N5" s="70">
        <v>2</v>
      </c>
      <c r="O5" s="70">
        <v>2</v>
      </c>
      <c r="P5" s="70">
        <v>2</v>
      </c>
      <c r="Q5" s="70">
        <v>2</v>
      </c>
      <c r="R5" s="70">
        <v>2</v>
      </c>
      <c r="S5" s="70">
        <v>2</v>
      </c>
      <c r="T5" s="71">
        <v>2</v>
      </c>
    </row>
    <row r="6" spans="2:20" ht="50.25" customHeight="1" x14ac:dyDescent="0.25">
      <c r="B6" s="84" t="s">
        <v>34</v>
      </c>
      <c r="C6" s="85"/>
      <c r="D6" s="10"/>
      <c r="E6" s="11"/>
      <c r="F6" s="10"/>
      <c r="G6" s="10"/>
      <c r="H6" s="10"/>
      <c r="I6" s="72" t="s">
        <v>19</v>
      </c>
      <c r="J6" s="72" t="s">
        <v>19</v>
      </c>
      <c r="K6" s="72" t="s">
        <v>19</v>
      </c>
      <c r="L6" s="72" t="s">
        <v>19</v>
      </c>
      <c r="M6" s="72" t="s">
        <v>19</v>
      </c>
      <c r="N6" s="72" t="s">
        <v>19</v>
      </c>
      <c r="O6" s="72" t="s">
        <v>19</v>
      </c>
      <c r="P6" s="72" t="s">
        <v>19</v>
      </c>
      <c r="Q6" s="72" t="s">
        <v>19</v>
      </c>
      <c r="R6" s="72" t="s">
        <v>19</v>
      </c>
      <c r="S6" s="72" t="s">
        <v>38</v>
      </c>
      <c r="T6" s="73" t="s">
        <v>38</v>
      </c>
    </row>
    <row r="7" spans="2:20" x14ac:dyDescent="0.25">
      <c r="B7" s="84" t="s">
        <v>5</v>
      </c>
      <c r="C7" s="85"/>
      <c r="D7" s="74">
        <v>71500</v>
      </c>
      <c r="E7" s="74">
        <v>71500</v>
      </c>
      <c r="F7" s="74">
        <v>73500</v>
      </c>
      <c r="G7" s="74">
        <v>78000</v>
      </c>
      <c r="H7" s="74">
        <v>93000</v>
      </c>
      <c r="I7" s="74">
        <v>98000</v>
      </c>
      <c r="J7" s="74">
        <v>101500</v>
      </c>
      <c r="K7" s="74">
        <v>105000</v>
      </c>
      <c r="L7" s="74">
        <v>111000</v>
      </c>
      <c r="M7" s="74">
        <v>127500</v>
      </c>
      <c r="N7" s="74">
        <v>138000</v>
      </c>
      <c r="O7" s="74">
        <v>149000</v>
      </c>
      <c r="P7" s="74">
        <v>149000</v>
      </c>
      <c r="Q7" s="74">
        <v>161000</v>
      </c>
      <c r="R7" s="74">
        <v>161000</v>
      </c>
      <c r="S7" s="74">
        <v>167400</v>
      </c>
      <c r="T7" s="75">
        <v>200000</v>
      </c>
    </row>
    <row r="8" spans="2:20" x14ac:dyDescent="0.25">
      <c r="B8" s="86" t="s">
        <v>6</v>
      </c>
      <c r="C8" s="87"/>
      <c r="D8" s="12"/>
      <c r="E8" s="12"/>
      <c r="F8" s="13">
        <f>F7*1.27</f>
        <v>93345</v>
      </c>
      <c r="G8" s="13">
        <f>G7*1.27</f>
        <v>99060</v>
      </c>
      <c r="H8" s="13">
        <f>IF(H7&lt;=202000,H7,(H7-202000)*1.27+202000)</f>
        <v>93000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4"/>
    </row>
    <row r="9" spans="2:20" ht="6" customHeight="1" x14ac:dyDescent="0.25">
      <c r="B9" s="15"/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20"/>
      <c r="O9" s="19"/>
      <c r="P9" s="21"/>
      <c r="Q9" s="21"/>
      <c r="R9" s="21"/>
      <c r="S9" s="21"/>
      <c r="T9" s="22"/>
    </row>
    <row r="10" spans="2:20" x14ac:dyDescent="0.25">
      <c r="B10" s="23" t="s">
        <v>7</v>
      </c>
      <c r="C10" s="24"/>
      <c r="D10" s="25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8"/>
      <c r="Q10" s="28"/>
      <c r="R10" s="28"/>
      <c r="S10" s="28"/>
      <c r="T10" s="29"/>
    </row>
    <row r="11" spans="2:20" x14ac:dyDescent="0.25">
      <c r="B11" s="30"/>
      <c r="C11" s="31" t="s">
        <v>17</v>
      </c>
      <c r="D11" s="32">
        <f>IF(D7*12&lt;1700000,D7*0.18,(D7*0.36)-25500)</f>
        <v>12870</v>
      </c>
      <c r="E11" s="32">
        <f>IF(E7*12&lt;1900000,E7*0.18,(E7*0.36)-28500)</f>
        <v>12870</v>
      </c>
      <c r="F11" s="32">
        <f>IF(F8*12&lt;5000000,F8*0.17,(F8*0.32)-62500)</f>
        <v>15868.650000000001</v>
      </c>
      <c r="G11" s="32">
        <f>+G8*0.16</f>
        <v>15849.6</v>
      </c>
      <c r="H11" s="32">
        <f>+H8*0.16</f>
        <v>14880</v>
      </c>
      <c r="I11" s="32">
        <f>+I7*0.16</f>
        <v>15680</v>
      </c>
      <c r="J11" s="32">
        <f>+J7*0.16</f>
        <v>16240</v>
      </c>
      <c r="K11" s="32">
        <f>+K7*0.16</f>
        <v>16800</v>
      </c>
      <c r="L11" s="32">
        <f>+L7*0.15</f>
        <v>16650</v>
      </c>
      <c r="M11" s="32">
        <f>+M7*0.15</f>
        <v>19125</v>
      </c>
      <c r="N11" s="32">
        <f t="shared" ref="N11:P11" si="0">+N7*0.15</f>
        <v>20700</v>
      </c>
      <c r="O11" s="32">
        <f t="shared" si="0"/>
        <v>22350</v>
      </c>
      <c r="P11" s="32">
        <f t="shared" si="0"/>
        <v>22350</v>
      </c>
      <c r="Q11" s="32">
        <f>IF(Q5&gt;3,0,Q7*0.15)</f>
        <v>24150</v>
      </c>
      <c r="R11" s="32">
        <f>IF(R5&gt;3,0,R7*0.15)</f>
        <v>24150</v>
      </c>
      <c r="S11" s="32">
        <f>IF(S5&gt;3,0,S7*0.15)</f>
        <v>25110</v>
      </c>
      <c r="T11" s="33">
        <f>IF(T5&gt;3,0,T7*0.15)</f>
        <v>30000</v>
      </c>
    </row>
    <row r="12" spans="2:20" x14ac:dyDescent="0.25">
      <c r="B12" s="34"/>
      <c r="C12" s="31" t="s">
        <v>8</v>
      </c>
      <c r="D12" s="32" t="str">
        <f>IF(D7&gt;620500,(D7-620500)*0.04,"")</f>
        <v/>
      </c>
      <c r="E12" s="32" t="str">
        <f>IF(E7&gt;620500,(E7-620500)*0.04,"")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</row>
    <row r="13" spans="2:20" x14ac:dyDescent="0.25">
      <c r="B13" s="34"/>
      <c r="C13" s="31" t="s">
        <v>9</v>
      </c>
      <c r="D13" s="32">
        <f>+IF(G5&gt;=3,+G5*4000,0)</f>
        <v>0</v>
      </c>
      <c r="E13" s="32">
        <f>+IF(G5&gt;=3,+G5*4000,0)</f>
        <v>0</v>
      </c>
      <c r="F13" s="32">
        <f>+IF(G5&gt;=3,+G5*4000,0)</f>
        <v>0</v>
      </c>
      <c r="G13" s="32">
        <f>+IF(G5&gt;2,G5*33000,G5*10000)</f>
        <v>20000</v>
      </c>
      <c r="H13" s="32">
        <f>+IF(H5&gt;2,H5*33000,H5*10000)</f>
        <v>20000</v>
      </c>
      <c r="I13" s="32">
        <f>+IF(I5&gt;2,I5*33000,I5*10000)</f>
        <v>20000</v>
      </c>
      <c r="J13" s="32">
        <f>+IF(J5&gt;2,J5*33000,J5*10000)</f>
        <v>20000</v>
      </c>
      <c r="K13" s="32">
        <f>+IF(K5&gt;2,K5*33000,K5*10000)</f>
        <v>20000</v>
      </c>
      <c r="L13" s="32">
        <f>+IF(L5=2,L5*12500,IF(L5&gt;2,L5*33000,L5*10000))</f>
        <v>25000</v>
      </c>
      <c r="M13" s="32">
        <f>+IF(M5=2,M5*15000,IF(M5&gt;2,M5*33000,M5*10000))</f>
        <v>30000</v>
      </c>
      <c r="N13" s="32">
        <f>+IF(N5=2,N5*17500,IF(N5&gt;2,N5*33000,N5*10000))</f>
        <v>35000</v>
      </c>
      <c r="O13" s="32">
        <f>+IF(O5=2,O5*20000,IF(O5&gt;2,O5*33000,O5*10000))</f>
        <v>40000</v>
      </c>
      <c r="P13" s="32">
        <f t="shared" ref="P13:R13" si="1">+IF(P5=2,P5*20000,IF(P5&gt;2,P5*33000,P5*10000))</f>
        <v>40000</v>
      </c>
      <c r="Q13" s="32">
        <f t="shared" ref="Q13" si="2">+IF(Q5=2,Q5*20000,IF(Q5&gt;2,Q5*33000,Q5*10000))</f>
        <v>40000</v>
      </c>
      <c r="R13" s="32">
        <f t="shared" si="1"/>
        <v>40000</v>
      </c>
      <c r="S13" s="32">
        <f t="shared" ref="S13:T13" si="3">+IF(S5=2,S5*20000,IF(S5&gt;2,S5*33000,S5*10000))</f>
        <v>40000</v>
      </c>
      <c r="T13" s="33">
        <f t="shared" si="3"/>
        <v>40000</v>
      </c>
    </row>
    <row r="14" spans="2:20" x14ac:dyDescent="0.25">
      <c r="B14" s="34"/>
      <c r="C14" s="31" t="s">
        <v>10</v>
      </c>
      <c r="D14" s="32">
        <f>IF(D7*12&lt;1250000,11340,IF(D7*12&lt;2762000,((2762000-D7*12)/1512000)*11340,0))</f>
        <v>11340</v>
      </c>
      <c r="E14" s="32">
        <f>IF(E7*12&lt;1250000,11340,IF(E7*12&lt;2762000,((2762000-E7*12)/1512000)*11340,0))</f>
        <v>11340</v>
      </c>
      <c r="F14" s="32">
        <f>IF(F8*12&lt;3188000,15100,IF(F8*12&lt;4698000,((4698000-F8*12)/1510000)*15100,0))</f>
        <v>15100</v>
      </c>
      <c r="G14" s="32">
        <f>IF(G8*12&lt;2750000,12100,IF(G8*12&lt;3960000,((3960000-G8*12)/1210000)*12100,0))</f>
        <v>12100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/>
    </row>
    <row r="15" spans="2:20" x14ac:dyDescent="0.25">
      <c r="B15" s="34"/>
      <c r="C15" s="31" t="s">
        <v>35</v>
      </c>
      <c r="D15" s="32">
        <f>D7*0.075</f>
        <v>5362.5</v>
      </c>
      <c r="E15" s="32">
        <f>E7*0.075</f>
        <v>5362.5</v>
      </c>
      <c r="F15" s="32">
        <f>F7*0.075</f>
        <v>5512.5</v>
      </c>
      <c r="G15" s="32">
        <f>G7*0.075</f>
        <v>5850</v>
      </c>
      <c r="H15" s="32">
        <f>H7*0.085</f>
        <v>7905.0000000000009</v>
      </c>
      <c r="I15" s="32">
        <f>I7*0.085</f>
        <v>8330</v>
      </c>
      <c r="J15" s="32">
        <f>IF(J11-J13&lt;0,IF(J7*0.07&gt;(J13-J11),(J7*0.07)-(J13-J11),(J7*0.015)),J7*0.085)</f>
        <v>3345.0000000000009</v>
      </c>
      <c r="K15" s="32">
        <f>IF(K11-K13&lt;0,IF(K7*0.07&gt;(K13-K11),(K7*0.07)-(K13-K11),(K7*0.015)),K7*0.085)</f>
        <v>4150.0000000000009</v>
      </c>
      <c r="L15" s="32">
        <f>IF(L11-L13&lt;0,IF(L7*0.07&gt;(L13-L11),(L7*0.07)-(L13-L11),(L7*0.015)),L7*0.085)</f>
        <v>1665</v>
      </c>
      <c r="M15" s="32">
        <f>IF(M11-M13&lt;0,IF(M7*0.07&gt;(M13-M11),(M7*0.085)-(M13-M11),(M7*0.015)),M7*0.085)</f>
        <v>1912.5</v>
      </c>
      <c r="N15" s="32">
        <f t="shared" ref="N15:P15" si="4">IF(N11-N13&lt;0,IF(N7*0.07&gt;(N13-N11),(N7*0.085)-(N13-N11),(N7*0.015)),N7*0.085)</f>
        <v>2070</v>
      </c>
      <c r="O15" s="32">
        <f t="shared" si="4"/>
        <v>2235</v>
      </c>
      <c r="P15" s="32">
        <f t="shared" si="4"/>
        <v>2235</v>
      </c>
      <c r="Q15" s="32">
        <f>IF(Q11-Q13&lt;0,IF(Q7*0.085&gt;(Q13-Q11),(Q7*0.085)-(Q13-Q11),(Q7*0)),Q7*0.085)</f>
        <v>0</v>
      </c>
      <c r="R15" s="32">
        <f>IF(R11-R13&lt;0,IF(R7*0.185&gt;(R13-R11),(R7*0.185)-(R13-R11),(R7*0)),R7*0.185)</f>
        <v>13935</v>
      </c>
      <c r="S15" s="32">
        <f>IF(S11-S13&lt;0,IF(S7*0.185&gt;(S13-S11),(S7*0.185)-(S13-S11),(S7*0)),S7*0.185)</f>
        <v>16079</v>
      </c>
      <c r="T15" s="33">
        <f>IF(T11-T13&lt;0,IF(T7*0.185&gt;(T13-T11),(T7*0.185)-(T13-T11),(T7*0)),T7*0.185)</f>
        <v>27000</v>
      </c>
    </row>
    <row r="16" spans="2:20" ht="13.8" thickBot="1" x14ac:dyDescent="0.3">
      <c r="B16" s="35"/>
      <c r="C16" s="36" t="s">
        <v>32</v>
      </c>
      <c r="D16" s="37">
        <f>D7*0.095</f>
        <v>6792.5</v>
      </c>
      <c r="E16" s="37">
        <f>E7*0.095</f>
        <v>6792.5</v>
      </c>
      <c r="F16" s="37">
        <f>F7*0.095</f>
        <v>6982.5</v>
      </c>
      <c r="G16" s="37">
        <f>G7*0.1</f>
        <v>7800</v>
      </c>
      <c r="H16" s="37">
        <f>H7*0.1</f>
        <v>9300</v>
      </c>
      <c r="I16" s="37">
        <f>I7*0.1</f>
        <v>9800</v>
      </c>
      <c r="J16" s="37">
        <f>+IF((J11+J7*0.07)-J13&lt;0,IF((J7*0.1+J11+J7*0.07-J13)&lt;0,0,J7*0.1-(J13-J11-J7*0.07)),J7*0.1)</f>
        <v>10150</v>
      </c>
      <c r="K16" s="37">
        <f>+IF((K11+K7*0.07)-K13&lt;0,IF((K7*0.1+K11+K7*0.07-K13)&lt;0,0,K7*0.1-(K13-K11-K7*0.07)),K7*0.1)</f>
        <v>10500</v>
      </c>
      <c r="L16" s="37">
        <f>+IF((L11+L7*0.07)-L13&lt;0,IF((L7*0.1+L11+L7*0.07-L13)&lt;0,0,L7*0.1-(L13-L11-L7*0.07)),L7*0.1)</f>
        <v>10520</v>
      </c>
      <c r="M16" s="37">
        <f>+IF((M11+M7*0.07)-M13&lt;0,IF((M7*0.1+M11+M7*0.07-M13)&lt;0,0,M7*0.1-(M13-M11-M7*0.07)),M7*0.1)</f>
        <v>10800</v>
      </c>
      <c r="N16" s="37">
        <f t="shared" ref="N16:P16" si="5">+IF((N11+N7*0.07)-N13&lt;0,IF((N7*0.1+N11+N7*0.07-N13)&lt;0,0,N7*0.1-(N13-N11-N7*0.07)),N7*0.1)</f>
        <v>9160.0000000000018</v>
      </c>
      <c r="O16" s="37">
        <f t="shared" si="5"/>
        <v>7680.0000000000018</v>
      </c>
      <c r="P16" s="37">
        <f t="shared" si="5"/>
        <v>7680.0000000000018</v>
      </c>
      <c r="Q16" s="37">
        <f>+IF((Q11+Q7*0.085)-Q13&lt;0,IF((Q7*0.1+Q11+Q7*0.085-Q13)&lt;0,0,Q7*0.1-(Q13-Q11-Q7*0.085)),Q7*0.1)</f>
        <v>13935.000000000002</v>
      </c>
      <c r="R16" s="37">
        <v>0</v>
      </c>
      <c r="S16" s="37">
        <v>0</v>
      </c>
      <c r="T16" s="38">
        <v>0</v>
      </c>
    </row>
    <row r="17" spans="2:20" ht="5.4" customHeight="1" x14ac:dyDescent="0.25">
      <c r="B17" s="39"/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2"/>
    </row>
    <row r="18" spans="2:20" x14ac:dyDescent="0.25">
      <c r="B18" s="43" t="s">
        <v>11</v>
      </c>
      <c r="C18" s="44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5"/>
    </row>
    <row r="19" spans="2:20" x14ac:dyDescent="0.25">
      <c r="B19" s="46"/>
      <c r="C19" s="31" t="s">
        <v>12</v>
      </c>
      <c r="D19" s="32">
        <f>D7*0.015</f>
        <v>1072.5</v>
      </c>
      <c r="E19" s="32">
        <f>E7*0.015</f>
        <v>1072.5</v>
      </c>
      <c r="F19" s="32">
        <f>F7*0.015</f>
        <v>1102.5</v>
      </c>
      <c r="G19" s="32">
        <f>G7*0.015</f>
        <v>1170</v>
      </c>
      <c r="H19" s="32">
        <f t="shared" ref="H19:R19" si="6">+H7*0.015</f>
        <v>1395</v>
      </c>
      <c r="I19" s="32">
        <f t="shared" si="6"/>
        <v>1470</v>
      </c>
      <c r="J19" s="32">
        <f t="shared" si="6"/>
        <v>1522.5</v>
      </c>
      <c r="K19" s="32">
        <f t="shared" si="6"/>
        <v>1575</v>
      </c>
      <c r="L19" s="32">
        <f t="shared" si="6"/>
        <v>1665</v>
      </c>
      <c r="M19" s="32">
        <f t="shared" si="6"/>
        <v>1912.5</v>
      </c>
      <c r="N19" s="32">
        <f t="shared" si="6"/>
        <v>2070</v>
      </c>
      <c r="O19" s="32">
        <f t="shared" si="6"/>
        <v>2235</v>
      </c>
      <c r="P19" s="32">
        <f t="shared" si="6"/>
        <v>2235</v>
      </c>
      <c r="Q19" s="32">
        <f t="shared" ref="Q19" si="7">+Q7*0.015</f>
        <v>2415</v>
      </c>
      <c r="R19" s="32">
        <f t="shared" si="6"/>
        <v>2415</v>
      </c>
      <c r="S19" s="32">
        <f t="shared" ref="S19" si="8">+S7*0.015</f>
        <v>2511</v>
      </c>
      <c r="T19" s="33">
        <v>0</v>
      </c>
    </row>
    <row r="20" spans="2:20" x14ac:dyDescent="0.25">
      <c r="B20" s="47"/>
      <c r="C20" s="31" t="s">
        <v>31</v>
      </c>
      <c r="D20" s="32">
        <f>D7*0.32</f>
        <v>22880</v>
      </c>
      <c r="E20" s="32">
        <f>IF(E7&gt;=143000,(E7*0.32)-7150,E7*0.27)</f>
        <v>19305</v>
      </c>
      <c r="F20" s="32">
        <f>F7*0.27</f>
        <v>19845</v>
      </c>
      <c r="G20" s="32">
        <f>G7*0.27</f>
        <v>21060</v>
      </c>
      <c r="H20" s="32">
        <f>H7*0.27</f>
        <v>25110</v>
      </c>
      <c r="I20" s="32">
        <f>IF(I6="igen",IF(I7&gt;100000,(I7-100000)*0.27+12500,I7*0.125),I7*0.27)</f>
        <v>26460</v>
      </c>
      <c r="J20" s="32">
        <f>IF(J6="igen",IF(J7&gt;100000,(J7-100000)*0.27+12500,J7*0.125),J7*0.27)</f>
        <v>27405</v>
      </c>
      <c r="K20" s="32">
        <f>IF(K6="igen",IF(K7&gt;100000,(K7-100000)*0.27+12500,K7*0.125),K7*0.27)</f>
        <v>28350.000000000004</v>
      </c>
      <c r="L20" s="32">
        <f>IF(L6="igen",IF(L7&gt;100000,(L7-100000)*0.27+12500,L7*0.125),L7*0.27)</f>
        <v>29970.000000000004</v>
      </c>
      <c r="M20" s="32">
        <f>IF(M6="igen",IF(M7&gt;100000,(M7-100000)*0.22+11000,M7*0.11),M7*0.22)</f>
        <v>28050</v>
      </c>
      <c r="N20" s="32">
        <f>IF(N6="igen",IF(N7&gt;100000,(N7-100000)*0.195+9750,N7*0.0975),N7*0.195)</f>
        <v>26910</v>
      </c>
      <c r="O20" s="32">
        <f>IF(O6="igen",IF(O7&gt;149000,(O7-149000)*0.195+14527,O7*0.0975),O7*0.195)</f>
        <v>29055</v>
      </c>
      <c r="P20" s="32">
        <f>IF(P6="igen",IF(P7&gt;148999,(P7-149000)*0.175+13037,P7*0.0875),P7*0.175)</f>
        <v>26075</v>
      </c>
      <c r="Q20" s="32">
        <f>IF(Q6="igen",IF(Q7&gt;160999,(Q7-161000)*0.175+14087,Q7*0.0875),Q7*0.175)</f>
        <v>28175</v>
      </c>
      <c r="R20" s="32">
        <f>IF(R6="igen",IF(R7&gt;160999,(R7-161000)*0.155+12477,R7*0.0775),R7*0.155)</f>
        <v>24955</v>
      </c>
      <c r="S20" s="32">
        <f>IF(S6="igen",IF(S7&gt;167399,(S7-167400)*0.155+12974,S7*0.0775),S7*0.155)</f>
        <v>12974</v>
      </c>
      <c r="T20" s="33">
        <f>IF(T6="igen",IF(T7&gt;199999,(T7-200000)*0.13+13000,T7*0.065),T7*0.13)</f>
        <v>13000</v>
      </c>
    </row>
    <row r="21" spans="2:20" ht="13.8" thickBot="1" x14ac:dyDescent="0.3">
      <c r="B21" s="48"/>
      <c r="C21" s="36" t="s">
        <v>13</v>
      </c>
      <c r="D21" s="37">
        <v>1950</v>
      </c>
      <c r="E21" s="37">
        <v>1950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8"/>
    </row>
    <row r="22" spans="2:20" ht="6" customHeight="1" x14ac:dyDescent="0.25">
      <c r="B22" s="49"/>
      <c r="C22" s="4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51"/>
      <c r="T22" s="51"/>
    </row>
    <row r="23" spans="2:20" x14ac:dyDescent="0.25">
      <c r="B23" s="80" t="s">
        <v>29</v>
      </c>
      <c r="C23" s="81"/>
      <c r="D23" s="52">
        <f>+D7-D11+D13+D14-D15-D16</f>
        <v>57815</v>
      </c>
      <c r="E23" s="52">
        <f>+E7-E11+E13+E14-E15-E16</f>
        <v>57815</v>
      </c>
      <c r="F23" s="52">
        <f>IF(F11&gt;=(F13+F14),F7-F15-F16-F11+F14+F13,F7-F15-F16)</f>
        <v>60236.35</v>
      </c>
      <c r="G23" s="52">
        <f>IF(G11&gt;=(G13+G14),G7-G15-G16-G11+G14+G13,G7-G15-G16)</f>
        <v>64350</v>
      </c>
      <c r="H23" s="52">
        <f>IF(H11&gt;=(H13+H14),H7-H15-H16-H11+H14+H13,H7-H15-H16)</f>
        <v>75795</v>
      </c>
      <c r="I23" s="52">
        <f>IF(I11&gt;=I13,I7-I15-I16-I11+I13,I7-I15-I16)</f>
        <v>79870</v>
      </c>
      <c r="J23" s="52">
        <f>IF(J11&gt;=J13,J7-J15-J16-J11+J13,J7-J15-J16)</f>
        <v>88005</v>
      </c>
      <c r="K23" s="52">
        <f>IF(K11&gt;=K13,K7-K15-K16-K11+K13,K7-K15-K16)</f>
        <v>90350</v>
      </c>
      <c r="L23" s="52">
        <f>IF(L11&gt;=L13,L7-L15-L16-L11+L13,L7-L15-L16)</f>
        <v>98815</v>
      </c>
      <c r="M23" s="52">
        <f>IF(M11&gt;=M13,M7-M15-M16-M11+M13,M7-M15-M16)</f>
        <v>114787.5</v>
      </c>
      <c r="N23" s="52">
        <f t="shared" ref="N23:P23" si="9">IF(N11&gt;=N13,N7-N15-N16-N11+N13,N7-N15-N16)</f>
        <v>126770</v>
      </c>
      <c r="O23" s="52">
        <f t="shared" si="9"/>
        <v>139085</v>
      </c>
      <c r="P23" s="52">
        <f t="shared" si="9"/>
        <v>139085</v>
      </c>
      <c r="Q23" s="52">
        <f>IF(Q11&gt;=Q13,Q7-Q15-Q16-Q11+Q13,Q7-Q15-Q16)</f>
        <v>147065</v>
      </c>
      <c r="R23" s="53">
        <f>IF(R11&gt;=R13,R7-R15-R16-R11+R13,R7-R15-R16)</f>
        <v>147065</v>
      </c>
      <c r="S23" s="53">
        <f>IF(S11&gt;=S13,S7-S15-S16-S11+S13,S7-S15-S16)</f>
        <v>151321</v>
      </c>
      <c r="T23" s="53">
        <f>IF(T11&gt;=T13,T7-T15-T16-T11+T13,T7-T15-T16)</f>
        <v>173000</v>
      </c>
    </row>
    <row r="24" spans="2:20" ht="4.2" customHeight="1" x14ac:dyDescent="0.25">
      <c r="B24" s="39"/>
      <c r="C24" s="40"/>
      <c r="D24" s="54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6"/>
      <c r="S24" s="56"/>
      <c r="T24" s="56"/>
    </row>
    <row r="25" spans="2:20" x14ac:dyDescent="0.25">
      <c r="B25" s="80" t="s">
        <v>30</v>
      </c>
      <c r="C25" s="81"/>
      <c r="D25" s="52">
        <f>D7+D20+D19+D21</f>
        <v>97402.5</v>
      </c>
      <c r="E25" s="52">
        <f>E7+E20+E19+E21</f>
        <v>93827.5</v>
      </c>
      <c r="F25" s="52">
        <f t="shared" ref="F25:K25" si="10">F7+F20+F19</f>
        <v>94447.5</v>
      </c>
      <c r="G25" s="52">
        <f t="shared" si="10"/>
        <v>100230</v>
      </c>
      <c r="H25" s="52">
        <f t="shared" si="10"/>
        <v>119505</v>
      </c>
      <c r="I25" s="52">
        <f t="shared" si="10"/>
        <v>125930</v>
      </c>
      <c r="J25" s="52">
        <f t="shared" si="10"/>
        <v>130427.5</v>
      </c>
      <c r="K25" s="52">
        <f t="shared" si="10"/>
        <v>134925</v>
      </c>
      <c r="L25" s="52">
        <f>L7+L20+L19</f>
        <v>142635</v>
      </c>
      <c r="M25" s="52">
        <f>M7+M20+M19</f>
        <v>157462.5</v>
      </c>
      <c r="N25" s="52">
        <f t="shared" ref="N25:R25" si="11">N7+N20+N19</f>
        <v>166980</v>
      </c>
      <c r="O25" s="52">
        <f t="shared" si="11"/>
        <v>180290</v>
      </c>
      <c r="P25" s="52">
        <f t="shared" si="11"/>
        <v>177310</v>
      </c>
      <c r="Q25" s="52">
        <f t="shared" ref="Q25" si="12">Q7+Q20+Q19</f>
        <v>191590</v>
      </c>
      <c r="R25" s="53">
        <f t="shared" si="11"/>
        <v>188370</v>
      </c>
      <c r="S25" s="53">
        <f t="shared" ref="S25:T25" si="13">S7+S20+S19</f>
        <v>182885</v>
      </c>
      <c r="T25" s="53">
        <f t="shared" si="13"/>
        <v>213000</v>
      </c>
    </row>
    <row r="26" spans="2:20" ht="4.2" customHeight="1" x14ac:dyDescent="0.25">
      <c r="B26" s="39"/>
      <c r="C26" s="57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60"/>
      <c r="S26" s="60"/>
      <c r="T26" s="60"/>
    </row>
    <row r="27" spans="2:20" hidden="1" x14ac:dyDescent="0.25">
      <c r="B27" s="39"/>
      <c r="C27" s="57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  <c r="S27" s="62"/>
      <c r="T27" s="62"/>
    </row>
    <row r="28" spans="2:20" ht="13.8" thickBot="1" x14ac:dyDescent="0.3">
      <c r="B28" s="63" t="s">
        <v>26</v>
      </c>
      <c r="C28" s="64"/>
      <c r="D28" s="65">
        <f>D23/D25</f>
        <v>0.59356792690126026</v>
      </c>
      <c r="E28" s="65">
        <f>E23/E25</f>
        <v>0.61618395459753272</v>
      </c>
      <c r="F28" s="65">
        <f>F23/F25</f>
        <v>0.63777601312898702</v>
      </c>
      <c r="G28" s="65">
        <f>G23/G25</f>
        <v>0.642023346303502</v>
      </c>
      <c r="H28" s="65">
        <f t="shared" ref="H28" si="14">H23/H25</f>
        <v>0.63424124513618674</v>
      </c>
      <c r="I28" s="65">
        <f>I23/I25</f>
        <v>0.63424124513618674</v>
      </c>
      <c r="J28" s="65">
        <f>J23/J25</f>
        <v>0.67474267313258318</v>
      </c>
      <c r="K28" s="65">
        <f>K23/K25</f>
        <v>0.66963127663516764</v>
      </c>
      <c r="L28" s="65">
        <f>L23/L25</f>
        <v>0.69278227643986401</v>
      </c>
      <c r="M28" s="65">
        <f>M23/M25</f>
        <v>0.7289830912121934</v>
      </c>
      <c r="N28" s="65">
        <f t="shared" ref="N28:R28" si="15">N23/N25</f>
        <v>0.75919271769074137</v>
      </c>
      <c r="O28" s="65">
        <f t="shared" si="15"/>
        <v>0.77145155028010426</v>
      </c>
      <c r="P28" s="65">
        <f>P23/P25</f>
        <v>0.78441712255371943</v>
      </c>
      <c r="Q28" s="65">
        <f t="shared" ref="Q28" si="16">Q23/Q25</f>
        <v>0.76760269325121355</v>
      </c>
      <c r="R28" s="66">
        <f t="shared" si="15"/>
        <v>0.7807241068110633</v>
      </c>
      <c r="S28" s="66">
        <f t="shared" ref="S28:T28" si="17">S23/S25</f>
        <v>0.82741066790606121</v>
      </c>
      <c r="T28" s="66">
        <f t="shared" si="17"/>
        <v>0.81220657276995301</v>
      </c>
    </row>
    <row r="29" spans="2:20" ht="13.8" thickTop="1" x14ac:dyDescent="0.25">
      <c r="I29" s="67"/>
    </row>
    <row r="31" spans="2:20" x14ac:dyDescent="0.25">
      <c r="B31" s="76" t="s">
        <v>27</v>
      </c>
      <c r="C31" s="76"/>
      <c r="D31" s="76"/>
      <c r="E31" s="76"/>
      <c r="F31" s="76"/>
      <c r="G31" s="76"/>
      <c r="H31" s="76"/>
      <c r="I31" s="76"/>
      <c r="J31" s="76"/>
      <c r="K31" s="76"/>
      <c r="L31" s="77"/>
      <c r="M31" s="77"/>
      <c r="N31" s="77"/>
      <c r="O31" s="77"/>
      <c r="P31" s="77"/>
      <c r="Q31" s="77"/>
      <c r="R31" s="77"/>
    </row>
    <row r="32" spans="2:20" x14ac:dyDescent="0.25"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7"/>
      <c r="M32" s="77"/>
      <c r="N32" s="77"/>
      <c r="O32" s="77"/>
      <c r="P32" s="77"/>
      <c r="Q32" s="77"/>
      <c r="R32" s="77"/>
    </row>
    <row r="33" spans="5:20" x14ac:dyDescent="0.25">
      <c r="G33" s="67"/>
    </row>
    <row r="34" spans="5:20" x14ac:dyDescent="0.25">
      <c r="E34" s="67"/>
      <c r="F34" s="68"/>
      <c r="G34" s="67"/>
    </row>
    <row r="36" spans="5:20" x14ac:dyDescent="0.25">
      <c r="L36" s="69"/>
      <c r="M36" s="69"/>
      <c r="N36" s="69"/>
      <c r="O36" s="69"/>
      <c r="P36" s="69"/>
      <c r="Q36" s="69"/>
      <c r="R36" s="69"/>
      <c r="S36" s="69"/>
      <c r="T36" s="69"/>
    </row>
    <row r="37" spans="5:20" ht="19.5" customHeight="1" x14ac:dyDescent="0.25">
      <c r="L37" s="69"/>
      <c r="M37" s="69"/>
      <c r="N37" s="69"/>
      <c r="O37" s="69"/>
      <c r="P37" s="69"/>
      <c r="Q37" s="69"/>
      <c r="R37" s="69"/>
      <c r="S37" s="69"/>
      <c r="T37" s="69"/>
    </row>
  </sheetData>
  <sheetProtection selectLockedCells="1"/>
  <mergeCells count="8">
    <mergeCell ref="B31:R32"/>
    <mergeCell ref="B4:C4"/>
    <mergeCell ref="B23:C23"/>
    <mergeCell ref="B25:C25"/>
    <mergeCell ref="B5:C5"/>
    <mergeCell ref="B6:C6"/>
    <mergeCell ref="B7:C7"/>
    <mergeCell ref="B8:C8"/>
  </mergeCells>
  <phoneticPr fontId="17" type="noConversion"/>
  <conditionalFormatting sqref="N9">
    <cfRule type="expression" dxfId="0" priority="1">
      <formula>OR(AND(YEAR($N$5)=$AA$7,COLUMN()-2&lt;MONTH($N$5)),YEAR($N$5)&gt;$AA$7,AND(YEAR($N$6)&lt;$AA$7,NOT(ISBLANK($N$6))),AND(YEAR($N$6)=$AA$7,COLUMN()-2&gt;MONTH($N$6)))</formula>
    </cfRule>
  </conditionalFormatting>
  <pageMargins left="0.27559055118110237" right="0.27559055118110237" top="0.78740157480314965" bottom="0.78740157480314965" header="0.51181102362204722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bér 2009-2020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Beradmin</dc:creator>
  <cp:lastModifiedBy>Nagy Katalin</cp:lastModifiedBy>
  <cp:lastPrinted>2020-01-03T08:32:22Z</cp:lastPrinted>
  <dcterms:created xsi:type="dcterms:W3CDTF">2012-12-12T15:10:29Z</dcterms:created>
  <dcterms:modified xsi:type="dcterms:W3CDTF">2022-01-13T09:48:04Z</dcterms:modified>
</cp:coreProperties>
</file>